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lculator" sheetId="1" r:id="rId5"/>
    <sheet state="visible" name="Tax Tables 2025" sheetId="2" r:id="rId6"/>
    <sheet state="visible" name="Notes &amp; Sources" sheetId="3" r:id="rId7"/>
  </sheets>
  <definedNames/>
  <calcPr/>
</workbook>
</file>

<file path=xl/sharedStrings.xml><?xml version="1.0" encoding="utf-8"?>
<sst xmlns="http://schemas.openxmlformats.org/spreadsheetml/2006/main" count="148" uniqueCount="136">
  <si>
    <t>CANADIAN INCOME TAX CALCULATOR  —  2025</t>
  </si>
  <si>
    <t>Federal + provincial tax, CPP/EI, take-home pay &amp; RRSP savings</t>
  </si>
  <si>
    <t>All amounts are annual, in Canadian dollars. Edit the yellow cells. Rates are on the 'Tax Tables 2025' tab.</t>
  </si>
  <si>
    <t>①  YOUR INPUTS</t>
  </si>
  <si>
    <t>FEDERAL TAX BRACKETS — 2025</t>
  </si>
  <si>
    <t>scenario</t>
  </si>
  <si>
    <t>Gross annual income</t>
  </si>
  <si>
    <t>From</t>
  </si>
  <si>
    <t>To</t>
  </si>
  <si>
    <t>Rate</t>
  </si>
  <si>
    <t>Taxable in bracket</t>
  </si>
  <si>
    <t>Tax</t>
  </si>
  <si>
    <t>Tax if no RRSP</t>
  </si>
  <si>
    <t>Province / Territory</t>
  </si>
  <si>
    <t>Ontario</t>
  </si>
  <si>
    <t>RRSP contribution (% of gross)</t>
  </si>
  <si>
    <t>RRSP contribution ($)</t>
  </si>
  <si>
    <t>Taxable income (after RRSP)</t>
  </si>
  <si>
    <t>②  DEDUCTIONS &amp; TAX (annual)</t>
  </si>
  <si>
    <t>Tax across brackets</t>
  </si>
  <si>
    <t>CPP / QPP contribution</t>
  </si>
  <si>
    <t>Less: basic personal amount credit</t>
  </si>
  <si>
    <t>CPP2 / QPP2 (additional)</t>
  </si>
  <si>
    <t>Less: Quebec federal abatement (QC only)</t>
  </si>
  <si>
    <t>EI premium</t>
  </si>
  <si>
    <t>Net federal income tax</t>
  </si>
  <si>
    <t>QPIP premium (Quebec only)</t>
  </si>
  <si>
    <t>Federal income tax</t>
  </si>
  <si>
    <t>Provincial income tax</t>
  </si>
  <si>
    <t>Total deductions</t>
  </si>
  <si>
    <t>③  YOUR TAKE-HOME PAY</t>
  </si>
  <si>
    <t>Net annual take-home</t>
  </si>
  <si>
    <t>Net monthly (÷12)</t>
  </si>
  <si>
    <t>Net bi-weekly (÷26)</t>
  </si>
  <si>
    <t>Average rate (tax + contributions)</t>
  </si>
  <si>
    <t>Marginal income-tax rate</t>
  </si>
  <si>
    <t>④  RRSP TAX SAVINGS</t>
  </si>
  <si>
    <t>Less: provincial basic personal amount credit</t>
  </si>
  <si>
    <t>RRSP contribution</t>
  </si>
  <si>
    <t>Net provincial income tax</t>
  </si>
  <si>
    <t>Income tax WITHOUT RRSP</t>
  </si>
  <si>
    <t>Income tax WITH RRSP</t>
  </si>
  <si>
    <t>CONTRIBUTIONS DETAIL (on gross income)</t>
  </si>
  <si>
    <t>Tax saved by contributing</t>
  </si>
  <si>
    <t>Item</t>
  </si>
  <si>
    <t>Base</t>
  </si>
  <si>
    <t>Amount</t>
  </si>
  <si>
    <t>Effective refund on each RRSP $</t>
  </si>
  <si>
    <t>CPP / QPP</t>
  </si>
  <si>
    <t>CPP2 / QPP2</t>
  </si>
  <si>
    <t>Estimated RRSP room (18%, cap)</t>
  </si>
  <si>
    <t>EI</t>
  </si>
  <si>
    <t>QPIP (QC)</t>
  </si>
  <si>
    <t>TAX TABLES — 2025  (editable: change any rate/threshold here and the Calculator updates)</t>
  </si>
  <si>
    <t>FEDERAL INCOME TAX (2025)</t>
  </si>
  <si>
    <t>CONTRIBUTION &amp; PLAN CONSTANTS (2025)</t>
  </si>
  <si>
    <t>Bracket</t>
  </si>
  <si>
    <t>Lower bound</t>
  </si>
  <si>
    <t>Value</t>
  </si>
  <si>
    <t>Bracket 1</t>
  </si>
  <si>
    <t>CPP – max pensionable earnings (YMPE)</t>
  </si>
  <si>
    <t>Bracket 2</t>
  </si>
  <si>
    <t>CPP – basic exemption</t>
  </si>
  <si>
    <t>Bracket 3</t>
  </si>
  <si>
    <t>CPP – employee rate</t>
  </si>
  <si>
    <t>Bracket 4</t>
  </si>
  <si>
    <t>QPP – employee rate (Quebec)</t>
  </si>
  <si>
    <t>Bracket 5</t>
  </si>
  <si>
    <t>CPP2 / QPP2 – 2nd ceiling (YAMPE)</t>
  </si>
  <si>
    <t>CPP2 / QPP2 – rate</t>
  </si>
  <si>
    <t>Federal basic personal amount</t>
  </si>
  <si>
    <t>EI – max insurable earnings (MIE)</t>
  </si>
  <si>
    <t>Note: 2025 bottom rate is CRA's blended 14.5% (15% Jan–Jun, 14% Jul–Dec). BPA high-income phase-out is not modelled.</t>
  </si>
  <si>
    <t>EI – employee rate (outside Quebec)</t>
  </si>
  <si>
    <t>EI – employee rate (Quebec)</t>
  </si>
  <si>
    <t>QPIP – max insurable (Quebec)</t>
  </si>
  <si>
    <t>QPIP – employee rate (Quebec)</t>
  </si>
  <si>
    <t>RRSP – annual dollar limit</t>
  </si>
  <si>
    <t>RRSP – % of earned income limit</t>
  </si>
  <si>
    <t>Quebec federal abatement</t>
  </si>
  <si>
    <t>PROVINCIAL / TERRITORIAL INCOME TAX (2025)</t>
  </si>
  <si>
    <t>L1</t>
  </si>
  <si>
    <t>L2</t>
  </si>
  <si>
    <t>L3</t>
  </si>
  <si>
    <t>L4</t>
  </si>
  <si>
    <t>L5</t>
  </si>
  <si>
    <t>L6</t>
  </si>
  <si>
    <t>L7</t>
  </si>
  <si>
    <t>L8</t>
  </si>
  <si>
    <t>Rate1</t>
  </si>
  <si>
    <t>Rate2</t>
  </si>
  <si>
    <t>Rate3</t>
  </si>
  <si>
    <t>Rate4</t>
  </si>
  <si>
    <t>Rate5</t>
  </si>
  <si>
    <t>Rate6</t>
  </si>
  <si>
    <t>Rate7</t>
  </si>
  <si>
    <t>Rate8</t>
  </si>
  <si>
    <t>BPA</t>
  </si>
  <si>
    <t>Alberta</t>
  </si>
  <si>
    <t>British Columbia</t>
  </si>
  <si>
    <t>Manitoba</t>
  </si>
  <si>
    <t>New Brunswick</t>
  </si>
  <si>
    <t>Newfoundland and Labrador</t>
  </si>
  <si>
    <t>Northwest Territories</t>
  </si>
  <si>
    <t>Nova Scotia</t>
  </si>
  <si>
    <t>Nunavut</t>
  </si>
  <si>
    <t>Prince Edward Island</t>
  </si>
  <si>
    <t>Quebec</t>
  </si>
  <si>
    <t>Saskatchewan</t>
  </si>
  <si>
    <t>Yukon</t>
  </si>
  <si>
    <t>L1–L8 = lower bound of each tax bracket (L1 is always $0; 99,999,999 = bracket not used by that province). Rate1–Rate8 = the marginal rate for that bracket. BPA = basic personal amount (verify against CRA for your situation — several provinces index this yearly).</t>
  </si>
  <si>
    <t>NOTES, ASSUMPTIONS &amp; SOURCES</t>
  </si>
  <si>
    <t>HOW TO USE</t>
  </si>
  <si>
    <t>1. On the Calculator tab, type your gross annual income in the yellow cell.</t>
  </si>
  <si>
    <t>2. Pick your province/territory from the yellow dropdown.</t>
  </si>
  <si>
    <t>3. Enter the share of income you contribute to an RRSP (e.g. 10%).</t>
  </si>
  <si>
    <t>Everything else updates automatically. To correct any rate, edit the 'Tax Tables 2025' tab.</t>
  </si>
  <si>
    <t>WHAT IS INCLUDED</t>
  </si>
  <si>
    <t>• Federal tax — 2025 brackets, using CRA's blended 14.5% bottom rate for 2025.</t>
  </si>
  <si>
    <t>• Provincial/territorial tax — full 2025 brackets for all 13 jurisdictions.</t>
  </si>
  <si>
    <t>• Basic personal amount credits (federal + provincial), valued at each jurisdiction's lowest rate.</t>
  </si>
  <si>
    <t>• CPP/CPP2 (or QPP/QPP2 in Quebec) and EI, each capped at the 2025 annual maximum.</t>
  </si>
  <si>
    <t>• QPIP and the 16.5% federal abatement for Quebec residents.</t>
  </si>
  <si>
    <t>• RRSP contributions reduce taxable income; the tool shows tax owed with vs. without the contribution.</t>
  </si>
  <si>
    <t>SIMPLIFICATIONS (read before relying on this)</t>
  </si>
  <si>
    <t>• Ontario surtax and Ontario Health Premium are NOT modelled (Ontario tax may be understated at higher incomes).</t>
  </si>
  <si>
    <t>• The federal BPA high-income phase-out (above ~$177k) is NOT modelled — flat $16,129 is used.</t>
  </si>
  <si>
    <t>• Assumes employment income only (T4): CPP/EI as an employee, no self-employment doubling.</t>
  </si>
  <si>
    <t>• Ignores other credits/deductions (tuition, dividends, capital gains, spousal amounts, etc.).</t>
  </si>
  <si>
    <t>• RRSP deduction assumes the contribution fits within your available RRSP room.</t>
  </si>
  <si>
    <t>• Estimate only — not tax advice. Verify against CRA before filing.</t>
  </si>
  <si>
    <t>SOURCES (2025 tax year)</t>
  </si>
  <si>
    <t>• CRA — Canadian income tax rates for individuals (federal): canada.ca</t>
  </si>
  <si>
    <t>• Provincial/territorial brackets &amp; basic personal amounts: CRA + TaxTips.ca + PwC Tax Summaries.</t>
  </si>
  <si>
    <t>• CPP/CPP2, EI, QPP/QPIP maximums: CRA / Service Canada 2025 figures.</t>
  </si>
  <si>
    <t>• Built 2026-05-30. Confirm current-year figures before each tax season.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</si>
</sst>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$#,##0"/>
    <numFmt numFmtId="165" formatCode="[&gt;=99999990]&quot;&quot;;$#,##0"/>
    <numFmt numFmtId="166" formatCode="[&gt;=99999990]&quot;and up&quot;;$#,##0"/>
    <numFmt numFmtId="167" formatCode="0.0%"/>
    <numFmt numFmtId="168" formatCode="0.000%"/>
    <numFmt numFmtId="169" formatCode="$#,##0.00"/>
  </numFmts>
  <fonts count="20">
    <font>
      <sz val="11.0"/>
      <color theme="1"/>
      <name val="Calibri"/>
      <scheme val="minor"/>
    </font>
    <font>
      <b/>
      <sz val="17.0"/>
      <color rgb="FFFFFFFF"/>
      <name val="Arial"/>
    </font>
    <font/>
    <font>
      <b/>
      <sz val="10.0"/>
      <color rgb="FF000000"/>
      <name val="Arial"/>
    </font>
    <font>
      <i/>
      <sz val="8.0"/>
      <color rgb="FF6B7775"/>
      <name val="Arial"/>
    </font>
    <font>
      <b/>
      <sz val="10.0"/>
      <color rgb="FFFFFFFF"/>
      <name val="Arial"/>
    </font>
    <font>
      <sz val="10.0"/>
      <color rgb="FF000000"/>
      <name val="Arial"/>
    </font>
    <font>
      <b/>
      <sz val="10.0"/>
      <color rgb="FF0000FF"/>
      <name val="Arial"/>
    </font>
    <font>
      <b/>
      <sz val="9.0"/>
      <color rgb="FFFFFFFF"/>
      <name val="Arial"/>
    </font>
    <font>
      <sz val="10.0"/>
      <color rgb="FF6B7775"/>
      <name val="Arial"/>
    </font>
    <font>
      <b/>
      <sz val="10.0"/>
      <color rgb="FF6B7775"/>
      <name val="Arial"/>
    </font>
    <font>
      <sz val="10.0"/>
      <color rgb="FFB5852B"/>
      <name val="Arial"/>
    </font>
    <font>
      <b/>
      <sz val="11.0"/>
      <color rgb="FFFFFFFF"/>
      <name val="Arial"/>
    </font>
    <font>
      <b/>
      <sz val="16.0"/>
      <color rgb="FFFFFFFF"/>
      <name val="Arial"/>
    </font>
    <font>
      <b/>
      <sz val="10.0"/>
      <color rgb="FF1E7D34"/>
      <name val="Arial"/>
    </font>
    <font>
      <sz val="9.0"/>
      <color rgb="FF6B7775"/>
      <name val="Arial"/>
    </font>
    <font>
      <i/>
      <sz val="9.0"/>
      <color rgb="FF6B7775"/>
      <name val="Arial"/>
    </font>
    <font>
      <b/>
      <sz val="12.0"/>
      <color rgb="FFFFFFFF"/>
      <name val="Arial"/>
    </font>
    <font>
      <sz val="10.0"/>
      <color rgb="FF0000FF"/>
      <name val="Arial"/>
    </font>
    <font>
      <b/>
      <sz val="13.0"/>
      <color rgb="FFFFFFFF"/>
      <name val="Arial"/>
    </font>
  </fonts>
  <fills count="10">
    <fill>
      <patternFill patternType="none"/>
    </fill>
    <fill>
      <patternFill patternType="lightGray"/>
    </fill>
    <fill>
      <patternFill patternType="solid">
        <fgColor rgb="FF14323B"/>
        <bgColor rgb="FF14323B"/>
      </patternFill>
    </fill>
    <fill>
      <patternFill patternType="solid">
        <fgColor rgb="FF2C6E63"/>
        <bgColor rgb="FF2C6E63"/>
      </patternFill>
    </fill>
    <fill>
      <patternFill patternType="solid">
        <fgColor rgb="FFFFF3C4"/>
        <bgColor rgb="FFFFF3C4"/>
      </patternFill>
    </fill>
    <fill>
      <patternFill patternType="solid">
        <fgColor rgb="FF3E8E7E"/>
        <bgColor rgb="FF3E8E7E"/>
      </patternFill>
    </fill>
    <fill>
      <patternFill patternType="solid">
        <fgColor rgb="FFFFFFFF"/>
        <bgColor rgb="FFFFFFFF"/>
      </patternFill>
    </fill>
    <fill>
      <patternFill patternType="solid">
        <fgColor rgb="FFEAF1F0"/>
        <bgColor rgb="FFEAF1F0"/>
      </patternFill>
    </fill>
    <fill>
      <patternFill patternType="solid">
        <fgColor rgb="FF1E7D34"/>
        <bgColor rgb="FF1E7D34"/>
      </patternFill>
    </fill>
    <fill>
      <patternFill patternType="solid">
        <fgColor rgb="FFE1F1E6"/>
        <bgColor rgb="FFE1F1E6"/>
      </patternFill>
    </fill>
  </fills>
  <borders count="7">
    <border/>
    <border>
      <left/>
      <top/>
      <bottom/>
    </border>
    <border>
      <top/>
      <bottom/>
    </border>
    <border>
      <right/>
      <top/>
      <bottom/>
    </border>
    <border>
      <left style="thin">
        <color rgb="FFC9D2D1"/>
      </left>
      <right style="thin">
        <color rgb="FFC9D2D1"/>
      </right>
      <top style="thin">
        <color rgb="FFC9D2D1"/>
      </top>
      <bottom style="thin">
        <color rgb="FFC9D2D1"/>
      </bottom>
    </border>
    <border>
      <top style="thin">
        <color rgb="FFC9D2D1"/>
      </top>
      <bottom style="thin">
        <color rgb="FFC9D2D1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center"/>
    </xf>
    <xf borderId="2" fillId="0" fontId="2" numFmtId="0" xfId="0" applyBorder="1" applyFont="1"/>
    <xf borderId="3" fillId="0" fontId="2" numFmtId="0" xfId="0" applyBorder="1" applyFont="1"/>
    <xf borderId="1" fillId="2" fontId="3" numFmtId="0" xfId="0" applyAlignment="1" applyBorder="1" applyFont="1">
      <alignment horizontal="left" vertical="center"/>
    </xf>
    <xf borderId="0" fillId="0" fontId="4" numFmtId="0" xfId="0" applyAlignment="1" applyFont="1">
      <alignment horizontal="left" vertical="center"/>
    </xf>
    <xf borderId="1" fillId="3" fontId="5" numFmtId="0" xfId="0" applyAlignment="1" applyBorder="1" applyFill="1" applyFont="1">
      <alignment horizontal="left" vertical="center"/>
    </xf>
    <xf borderId="0" fillId="0" fontId="4" numFmtId="0" xfId="0" applyAlignment="1" applyFont="1">
      <alignment horizontal="center" vertical="center"/>
    </xf>
    <xf borderId="0" fillId="0" fontId="6" numFmtId="0" xfId="0" applyAlignment="1" applyFont="1">
      <alignment horizontal="left" vertical="center"/>
    </xf>
    <xf borderId="4" fillId="4" fontId="7" numFmtId="164" xfId="0" applyAlignment="1" applyBorder="1" applyFill="1" applyFont="1" applyNumberFormat="1">
      <alignment horizontal="center" vertical="center"/>
    </xf>
    <xf borderId="4" fillId="5" fontId="8" numFmtId="0" xfId="0" applyAlignment="1" applyBorder="1" applyFill="1" applyFont="1">
      <alignment horizontal="center" shrinkToFit="0" vertical="center" wrapText="1"/>
    </xf>
    <xf borderId="4" fillId="4" fontId="7" numFmtId="0" xfId="0" applyAlignment="1" applyBorder="1" applyFont="1">
      <alignment horizontal="center" vertical="center"/>
    </xf>
    <xf borderId="4" fillId="6" fontId="6" numFmtId="165" xfId="0" applyAlignment="1" applyBorder="1" applyFill="1" applyFont="1" applyNumberFormat="1">
      <alignment horizontal="right" vertical="center"/>
    </xf>
    <xf borderId="4" fillId="6" fontId="6" numFmtId="166" xfId="0" applyAlignment="1" applyBorder="1" applyFont="1" applyNumberFormat="1">
      <alignment horizontal="right" vertical="center"/>
    </xf>
    <xf borderId="4" fillId="6" fontId="6" numFmtId="10" xfId="0" applyAlignment="1" applyBorder="1" applyFont="1" applyNumberFormat="1">
      <alignment horizontal="center" vertical="center"/>
    </xf>
    <xf borderId="4" fillId="6" fontId="6" numFmtId="164" xfId="0" applyAlignment="1" applyBorder="1" applyFont="1" applyNumberFormat="1">
      <alignment horizontal="right" vertical="center"/>
    </xf>
    <xf borderId="4" fillId="6" fontId="9" numFmtId="164" xfId="0" applyAlignment="1" applyBorder="1" applyFont="1" applyNumberFormat="1">
      <alignment horizontal="right" vertical="center"/>
    </xf>
    <xf borderId="4" fillId="4" fontId="7" numFmtId="167" xfId="0" applyAlignment="1" applyBorder="1" applyFont="1" applyNumberFormat="1">
      <alignment horizontal="center" vertical="center"/>
    </xf>
    <xf borderId="4" fillId="7" fontId="6" numFmtId="165" xfId="0" applyAlignment="1" applyBorder="1" applyFill="1" applyFont="1" applyNumberFormat="1">
      <alignment horizontal="right" vertical="center"/>
    </xf>
    <xf borderId="4" fillId="7" fontId="6" numFmtId="166" xfId="0" applyAlignment="1" applyBorder="1" applyFont="1" applyNumberFormat="1">
      <alignment horizontal="right" vertical="center"/>
    </xf>
    <xf borderId="4" fillId="7" fontId="6" numFmtId="10" xfId="0" applyAlignment="1" applyBorder="1" applyFont="1" applyNumberFormat="1">
      <alignment horizontal="center" vertical="center"/>
    </xf>
    <xf borderId="4" fillId="7" fontId="6" numFmtId="164" xfId="0" applyAlignment="1" applyBorder="1" applyFont="1" applyNumberFormat="1">
      <alignment horizontal="right" vertical="center"/>
    </xf>
    <xf borderId="4" fillId="7" fontId="9" numFmtId="164" xfId="0" applyAlignment="1" applyBorder="1" applyFont="1" applyNumberFormat="1">
      <alignment horizontal="right" vertical="center"/>
    </xf>
    <xf borderId="0" fillId="0" fontId="6" numFmtId="164" xfId="0" applyAlignment="1" applyFont="1" applyNumberFormat="1">
      <alignment horizontal="right" vertical="center"/>
    </xf>
    <xf borderId="0" fillId="0" fontId="3" numFmtId="0" xfId="0" applyAlignment="1" applyFont="1">
      <alignment horizontal="left" vertical="center"/>
    </xf>
    <xf borderId="0" fillId="0" fontId="3" numFmtId="164" xfId="0" applyAlignment="1" applyFont="1" applyNumberFormat="1">
      <alignment horizontal="right" vertical="center"/>
    </xf>
    <xf borderId="0" fillId="0" fontId="10" numFmtId="164" xfId="0" applyAlignment="1" applyFont="1" applyNumberFormat="1">
      <alignment horizontal="right" vertical="center"/>
    </xf>
    <xf borderId="0" fillId="0" fontId="11" numFmtId="164" xfId="0" applyAlignment="1" applyFont="1" applyNumberFormat="1">
      <alignment horizontal="right" vertical="center"/>
    </xf>
    <xf borderId="0" fillId="0" fontId="9" numFmtId="164" xfId="0" applyAlignment="1" applyFont="1" applyNumberFormat="1">
      <alignment horizontal="right" vertical="center"/>
    </xf>
    <xf borderId="5" fillId="0" fontId="6" numFmtId="0" xfId="0" applyAlignment="1" applyBorder="1" applyFont="1">
      <alignment horizontal="left" readingOrder="0" vertical="center"/>
    </xf>
    <xf borderId="5" fillId="0" fontId="2" numFmtId="0" xfId="0" applyBorder="1" applyFont="1"/>
    <xf borderId="5" fillId="0" fontId="3" numFmtId="164" xfId="0" applyAlignment="1" applyBorder="1" applyFont="1" applyNumberFormat="1">
      <alignment horizontal="right" vertical="center"/>
    </xf>
    <xf borderId="5" fillId="0" fontId="10" numFmtId="164" xfId="0" applyAlignment="1" applyBorder="1" applyFont="1" applyNumberFormat="1">
      <alignment horizontal="right" vertical="center"/>
    </xf>
    <xf borderId="4" fillId="7" fontId="3" numFmtId="0" xfId="0" applyAlignment="1" applyBorder="1" applyFont="1">
      <alignment horizontal="left" vertical="center"/>
    </xf>
    <xf borderId="4" fillId="7" fontId="3" numFmtId="164" xfId="0" applyAlignment="1" applyBorder="1" applyFont="1" applyNumberFormat="1">
      <alignment horizontal="right" vertical="center"/>
    </xf>
    <xf borderId="0" fillId="0" fontId="6" numFmtId="10" xfId="0" applyAlignment="1" applyFont="1" applyNumberFormat="1">
      <alignment horizontal="center" vertical="center"/>
    </xf>
    <xf borderId="6" fillId="8" fontId="12" numFmtId="0" xfId="0" applyAlignment="1" applyBorder="1" applyFill="1" applyFont="1">
      <alignment horizontal="left" vertical="center"/>
    </xf>
    <xf borderId="6" fillId="8" fontId="13" numFmtId="164" xfId="0" applyAlignment="1" applyBorder="1" applyFont="1" applyNumberFormat="1">
      <alignment horizontal="right" vertical="center"/>
    </xf>
    <xf borderId="4" fillId="7" fontId="6" numFmtId="0" xfId="0" applyAlignment="1" applyBorder="1" applyFont="1">
      <alignment horizontal="left" vertical="center"/>
    </xf>
    <xf borderId="4" fillId="7" fontId="6" numFmtId="167" xfId="0" applyAlignment="1" applyBorder="1" applyFont="1" applyNumberFormat="1">
      <alignment horizontal="right" vertical="center"/>
    </xf>
    <xf borderId="4" fillId="7" fontId="6" numFmtId="10" xfId="0" applyAlignment="1" applyBorder="1" applyFont="1" applyNumberFormat="1">
      <alignment horizontal="right" vertical="center"/>
    </xf>
    <xf borderId="4" fillId="9" fontId="3" numFmtId="0" xfId="0" applyAlignment="1" applyBorder="1" applyFill="1" applyFont="1">
      <alignment horizontal="left" vertical="center"/>
    </xf>
    <xf borderId="4" fillId="9" fontId="14" numFmtId="164" xfId="0" applyAlignment="1" applyBorder="1" applyFont="1" applyNumberFormat="1">
      <alignment horizontal="right" vertical="center"/>
    </xf>
    <xf borderId="4" fillId="5" fontId="8" numFmtId="0" xfId="0" applyAlignment="1" applyBorder="1" applyFont="1">
      <alignment horizontal="center" vertical="center"/>
    </xf>
    <xf borderId="0" fillId="0" fontId="6" numFmtId="167" xfId="0" applyAlignment="1" applyFont="1" applyNumberFormat="1">
      <alignment horizontal="right" vertical="center"/>
    </xf>
    <xf borderId="4" fillId="6" fontId="6" numFmtId="0" xfId="0" applyAlignment="1" applyBorder="1" applyFont="1">
      <alignment horizontal="left" vertical="center"/>
    </xf>
    <xf borderId="4" fillId="6" fontId="6" numFmtId="168" xfId="0" applyAlignment="1" applyBorder="1" applyFont="1" applyNumberFormat="1">
      <alignment horizontal="center" vertical="center"/>
    </xf>
    <xf borderId="4" fillId="6" fontId="6" numFmtId="169" xfId="0" applyAlignment="1" applyBorder="1" applyFont="1" applyNumberFormat="1">
      <alignment horizontal="right" vertical="center"/>
    </xf>
    <xf borderId="4" fillId="7" fontId="6" numFmtId="168" xfId="0" applyAlignment="1" applyBorder="1" applyFont="1" applyNumberFormat="1">
      <alignment horizontal="center" vertical="center"/>
    </xf>
    <xf borderId="4" fillId="7" fontId="6" numFmtId="169" xfId="0" applyAlignment="1" applyBorder="1" applyFont="1" applyNumberFormat="1">
      <alignment horizontal="right" vertical="center"/>
    </xf>
    <xf borderId="0" fillId="0" fontId="15" numFmtId="0" xfId="0" applyAlignment="1" applyFont="1">
      <alignment horizontal="left" vertical="center"/>
    </xf>
    <xf borderId="0" fillId="0" fontId="16" numFmtId="0" xfId="0" applyAlignment="1" applyFont="1">
      <alignment horizontal="left" vertical="center"/>
    </xf>
    <xf borderId="1" fillId="2" fontId="17" numFmtId="0" xfId="0" applyAlignment="1" applyBorder="1" applyFont="1">
      <alignment horizontal="left" vertical="center"/>
    </xf>
    <xf borderId="4" fillId="5" fontId="8" numFmtId="0" xfId="0" applyAlignment="1" applyBorder="1" applyFont="1">
      <alignment horizontal="left" vertical="center"/>
    </xf>
    <xf borderId="4" fillId="0" fontId="6" numFmtId="0" xfId="0" applyAlignment="1" applyBorder="1" applyFont="1">
      <alignment horizontal="left" vertical="center"/>
    </xf>
    <xf borderId="4" fillId="0" fontId="18" numFmtId="164" xfId="0" applyAlignment="1" applyBorder="1" applyFont="1" applyNumberFormat="1">
      <alignment horizontal="right" vertical="center"/>
    </xf>
    <xf borderId="4" fillId="0" fontId="18" numFmtId="10" xfId="0" applyAlignment="1" applyBorder="1" applyFont="1" applyNumberFormat="1">
      <alignment horizontal="center" vertical="center"/>
    </xf>
    <xf borderId="4" fillId="0" fontId="18" numFmtId="164" xfId="0" applyAlignment="1" applyBorder="1" applyFont="1" applyNumberFormat="1">
      <alignment horizontal="center" vertical="center"/>
    </xf>
    <xf borderId="4" fillId="0" fontId="3" numFmtId="0" xfId="0" applyAlignment="1" applyBorder="1" applyFont="1">
      <alignment horizontal="left" vertical="center"/>
    </xf>
    <xf borderId="0" fillId="0" fontId="4" numFmtId="0" xfId="0" applyAlignment="1" applyFont="1">
      <alignment horizontal="left" shrinkToFit="0" vertical="center" wrapText="1"/>
    </xf>
    <xf borderId="4" fillId="0" fontId="18" numFmtId="168" xfId="0" applyAlignment="1" applyBorder="1" applyFont="1" applyNumberFormat="1">
      <alignment horizontal="center" vertical="center"/>
    </xf>
    <xf borderId="4" fillId="0" fontId="18" numFmtId="167" xfId="0" applyAlignment="1" applyBorder="1" applyFont="1" applyNumberFormat="1">
      <alignment horizontal="center" vertical="center"/>
    </xf>
    <xf borderId="4" fillId="0" fontId="18" numFmtId="165" xfId="0" applyAlignment="1" applyBorder="1" applyFont="1" applyNumberFormat="1">
      <alignment horizontal="right" vertical="center"/>
    </xf>
    <xf borderId="6" fillId="2" fontId="19" numFmtId="0" xfId="0" applyAlignment="1" applyBorder="1" applyFont="1">
      <alignment horizontal="left" vertical="center"/>
    </xf>
    <xf borderId="6" fillId="3" fontId="5" numFmtId="0" xfId="0" applyAlignment="1" applyBorder="1" applyFont="1">
      <alignment horizontal="left" vertical="center"/>
    </xf>
    <xf borderId="0" fillId="0" fontId="6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31.0"/>
    <col customWidth="1" min="3" max="3" width="15.0"/>
    <col customWidth="1" min="4" max="4" width="3.0"/>
    <col customWidth="1" min="5" max="6" width="12.0"/>
    <col customWidth="1" min="7" max="7" width="9.0"/>
    <col customWidth="1" min="8" max="8" width="15.0"/>
    <col customWidth="1" min="9" max="9" width="13.0"/>
    <col customWidth="1" min="10" max="10" width="2.0"/>
    <col customWidth="1" min="11" max="11" width="13.0"/>
    <col customWidth="1" min="12" max="12" width="8.71"/>
    <col customWidth="1" hidden="1" min="13" max="13" width="13.0"/>
    <col customWidth="1" min="14" max="26" width="8.71"/>
  </cols>
  <sheetData>
    <row r="1" ht="25.5" customHeight="1">
      <c r="B1" s="1" t="s">
        <v>0</v>
      </c>
      <c r="C1" s="2"/>
      <c r="D1" s="2"/>
      <c r="E1" s="2"/>
      <c r="F1" s="2"/>
      <c r="G1" s="2"/>
      <c r="H1" s="2"/>
      <c r="I1" s="2"/>
      <c r="J1" s="2"/>
      <c r="K1" s="3"/>
    </row>
    <row r="2" ht="15.75" customHeight="1">
      <c r="B2" s="4" t="s">
        <v>1</v>
      </c>
      <c r="C2" s="2"/>
      <c r="D2" s="2"/>
      <c r="E2" s="2"/>
      <c r="F2" s="2"/>
      <c r="G2" s="2"/>
      <c r="H2" s="2"/>
      <c r="I2" s="2"/>
      <c r="J2" s="2"/>
      <c r="K2" s="3"/>
    </row>
    <row r="3">
      <c r="B3" s="5" t="s">
        <v>2</v>
      </c>
    </row>
    <row r="5" ht="18.0" customHeight="1">
      <c r="B5" s="6" t="s">
        <v>3</v>
      </c>
      <c r="C5" s="3"/>
      <c r="E5" s="6" t="s">
        <v>4</v>
      </c>
      <c r="F5" s="2"/>
      <c r="G5" s="2"/>
      <c r="H5" s="2"/>
      <c r="I5" s="3"/>
      <c r="K5" s="7" t="s">
        <v>5</v>
      </c>
    </row>
    <row r="6" ht="25.5" customHeight="1">
      <c r="B6" s="8" t="s">
        <v>6</v>
      </c>
      <c r="C6" s="9">
        <v>85000.0</v>
      </c>
      <c r="E6" s="10" t="s">
        <v>7</v>
      </c>
      <c r="F6" s="10" t="s">
        <v>8</v>
      </c>
      <c r="G6" s="10" t="s">
        <v>9</v>
      </c>
      <c r="H6" s="10" t="s">
        <v>10</v>
      </c>
      <c r="I6" s="10" t="s">
        <v>11</v>
      </c>
      <c r="K6" s="10" t="s">
        <v>12</v>
      </c>
    </row>
    <row r="7">
      <c r="B7" s="8" t="s">
        <v>13</v>
      </c>
      <c r="C7" s="11" t="s">
        <v>14</v>
      </c>
      <c r="E7" s="12">
        <f>'Tax Tables 2025'!$B$5</f>
        <v>0</v>
      </c>
      <c r="F7" s="13">
        <f>'Tax Tables 2025'!$B$6</f>
        <v>57375</v>
      </c>
      <c r="G7" s="14">
        <f>'Tax Tables 2025'!$C$5</f>
        <v>0.145</v>
      </c>
      <c r="H7" s="15">
        <f t="shared" ref="H7:H11" si="1">MAX(0,MIN($C$10,$F7)-$E7)</f>
        <v>57375</v>
      </c>
      <c r="I7" s="15">
        <f t="shared" ref="I7:I11" si="2">$H7*$G7</f>
        <v>8319.375</v>
      </c>
      <c r="K7" s="16">
        <f t="shared" ref="K7:K11" si="3">MAX(0,MIN($C$6,$F7)-$E7)*$G7</f>
        <v>8319.375</v>
      </c>
    </row>
    <row r="8">
      <c r="B8" s="8" t="s">
        <v>15</v>
      </c>
      <c r="C8" s="17">
        <v>0.1</v>
      </c>
      <c r="E8" s="18">
        <f>'Tax Tables 2025'!$B$6</f>
        <v>57375</v>
      </c>
      <c r="F8" s="19">
        <f>'Tax Tables 2025'!$B$7</f>
        <v>114750</v>
      </c>
      <c r="G8" s="20">
        <f>'Tax Tables 2025'!$C$6</f>
        <v>0.205</v>
      </c>
      <c r="H8" s="21">
        <f t="shared" si="1"/>
        <v>19125</v>
      </c>
      <c r="I8" s="21">
        <f t="shared" si="2"/>
        <v>3920.625</v>
      </c>
      <c r="K8" s="22">
        <f t="shared" si="3"/>
        <v>5663.125</v>
      </c>
    </row>
    <row r="9">
      <c r="B9" s="8" t="s">
        <v>16</v>
      </c>
      <c r="C9" s="23">
        <f>$C$6*$C$8</f>
        <v>8500</v>
      </c>
      <c r="E9" s="12">
        <f>'Tax Tables 2025'!$B$7</f>
        <v>114750</v>
      </c>
      <c r="F9" s="13">
        <f>'Tax Tables 2025'!$B$8</f>
        <v>177882</v>
      </c>
      <c r="G9" s="14">
        <f>'Tax Tables 2025'!$C$7</f>
        <v>0.26</v>
      </c>
      <c r="H9" s="15">
        <f t="shared" si="1"/>
        <v>0</v>
      </c>
      <c r="I9" s="15">
        <f t="shared" si="2"/>
        <v>0</v>
      </c>
      <c r="K9" s="16">
        <f t="shared" si="3"/>
        <v>0</v>
      </c>
    </row>
    <row r="10">
      <c r="B10" s="24" t="s">
        <v>17</v>
      </c>
      <c r="C10" s="25">
        <f>$C$6-$C$9</f>
        <v>76500</v>
      </c>
      <c r="E10" s="18">
        <f>'Tax Tables 2025'!$B$8</f>
        <v>177882</v>
      </c>
      <c r="F10" s="19">
        <f>'Tax Tables 2025'!$B$9</f>
        <v>253414</v>
      </c>
      <c r="G10" s="20">
        <f>'Tax Tables 2025'!$C$8</f>
        <v>0.29</v>
      </c>
      <c r="H10" s="21">
        <f t="shared" si="1"/>
        <v>0</v>
      </c>
      <c r="I10" s="21">
        <f t="shared" si="2"/>
        <v>0</v>
      </c>
      <c r="K10" s="22">
        <f t="shared" si="3"/>
        <v>0</v>
      </c>
    </row>
    <row r="11">
      <c r="E11" s="12">
        <f>'Tax Tables 2025'!$B$9</f>
        <v>253414</v>
      </c>
      <c r="F11" s="13">
        <v>9.9999999E7</v>
      </c>
      <c r="G11" s="14">
        <f>'Tax Tables 2025'!$C$9</f>
        <v>0.33</v>
      </c>
      <c r="H11" s="15">
        <f t="shared" si="1"/>
        <v>0</v>
      </c>
      <c r="I11" s="15">
        <f t="shared" si="2"/>
        <v>0</v>
      </c>
      <c r="K11" s="16">
        <f t="shared" si="3"/>
        <v>0</v>
      </c>
    </row>
    <row r="12" ht="18.0" customHeight="1">
      <c r="B12" s="6" t="s">
        <v>18</v>
      </c>
      <c r="C12" s="3"/>
      <c r="E12" s="24" t="s">
        <v>19</v>
      </c>
      <c r="H12" s="25">
        <f>SUM($H$7:$H$11)</f>
        <v>76500</v>
      </c>
      <c r="I12" s="25">
        <f>SUM($I$7:$I$11)</f>
        <v>12240</v>
      </c>
      <c r="K12" s="26">
        <f>SUM($K$7:$K$11)</f>
        <v>13982.5</v>
      </c>
    </row>
    <row r="13">
      <c r="B13" s="8" t="s">
        <v>20</v>
      </c>
      <c r="C13" s="23">
        <f>MAX(0,MIN($C$6,'Tax Tables 2025'!$F$5)-'Tax Tables 2025'!$F$6)*IF($C$7="Quebec",'Tax Tables 2025'!$F$8,'Tax Tables 2025'!$F$7)</f>
        <v>4034.1</v>
      </c>
      <c r="E13" s="8" t="s">
        <v>21</v>
      </c>
      <c r="I13" s="27">
        <f>'Tax Tables 2025'!$C$5*'Tax Tables 2025'!$B$11</f>
        <v>2338.705</v>
      </c>
      <c r="K13" s="28">
        <f>'Tax Tables 2025'!$C$5*'Tax Tables 2025'!$B$11</f>
        <v>2338.705</v>
      </c>
    </row>
    <row r="14">
      <c r="B14" s="8" t="s">
        <v>22</v>
      </c>
      <c r="C14" s="23">
        <f>MAX(0,MIN($C$6,'Tax Tables 2025'!$F$9)-'Tax Tables 2025'!$F$5)*'Tax Tables 2025'!$F$10</f>
        <v>396</v>
      </c>
      <c r="E14" s="8" t="s">
        <v>23</v>
      </c>
      <c r="I14" s="27">
        <f>IF($C$7="Quebec",'Tax Tables 2025'!$F$18*MAX(0,$I$12-$I$13),0)</f>
        <v>0</v>
      </c>
      <c r="K14" s="28">
        <f>IF($C$7="Quebec",'Tax Tables 2025'!$F$18*MAX(0,$K$12-$I$13),0)</f>
        <v>0</v>
      </c>
    </row>
    <row r="15">
      <c r="B15" s="8" t="s">
        <v>24</v>
      </c>
      <c r="C15" s="23">
        <f>MIN($C$6,'Tax Tables 2025'!$F$11)*IF($C$7="Quebec",'Tax Tables 2025'!$F$13,'Tax Tables 2025'!$F$12)</f>
        <v>1077.48</v>
      </c>
      <c r="E15" s="29" t="s">
        <v>25</v>
      </c>
      <c r="F15" s="30"/>
      <c r="G15" s="30"/>
      <c r="H15" s="30"/>
      <c r="I15" s="31">
        <f>MAX(0,$I$12-$I$13)-$I$14</f>
        <v>9901.295</v>
      </c>
      <c r="K15" s="32">
        <f>MAX(0,$K$12-$I$13)-$K$14</f>
        <v>11643.795</v>
      </c>
    </row>
    <row r="16">
      <c r="B16" s="8" t="s">
        <v>26</v>
      </c>
      <c r="C16" s="23">
        <f>IF($C$7="Quebec",MIN($C$6,'Tax Tables 2025'!$F$14)*'Tax Tables 2025'!$F$15,0)</f>
        <v>0</v>
      </c>
    </row>
    <row r="17">
      <c r="B17" s="8" t="s">
        <v>27</v>
      </c>
      <c r="C17" s="23">
        <f>$I$15</f>
        <v>9901.295</v>
      </c>
      <c r="E17" s="6" t="str">
        <f>"PROVINCIAL/TERRITORIAL TAX — "&amp;$C$7&amp;" (2025)"</f>
        <v>PROVINCIAL/TERRITORIAL TAX — Ontario (2025)</v>
      </c>
      <c r="F17" s="2"/>
      <c r="G17" s="2"/>
      <c r="H17" s="2"/>
      <c r="I17" s="3"/>
    </row>
    <row r="18" ht="25.5" customHeight="1">
      <c r="B18" s="8" t="s">
        <v>28</v>
      </c>
      <c r="C18" s="23">
        <f>$I$29</f>
        <v>4187.7005</v>
      </c>
      <c r="E18" s="10" t="s">
        <v>7</v>
      </c>
      <c r="F18" s="10" t="s">
        <v>8</v>
      </c>
      <c r="G18" s="10" t="s">
        <v>9</v>
      </c>
      <c r="H18" s="10" t="s">
        <v>10</v>
      </c>
      <c r="I18" s="10" t="s">
        <v>11</v>
      </c>
      <c r="K18" s="10" t="s">
        <v>12</v>
      </c>
    </row>
    <row r="19">
      <c r="B19" s="33" t="s">
        <v>29</v>
      </c>
      <c r="C19" s="34">
        <f>SUM($C$13:$C$18)</f>
        <v>19596.5755</v>
      </c>
      <c r="E19" s="12">
        <f t="array" ref="E19">INDEX('Tax Tables 2025'!$B$23:$I$35,MATCH($C$7,'Tax Tables 2025'!$A$23:$A$35,0),1)</f>
        <v>0</v>
      </c>
      <c r="F19" s="13">
        <f t="array" ref="F19">INDEX('Tax Tables 2025'!$B$23:$I$35,MATCH($C$7,'Tax Tables 2025'!$A$23:$A$35,0),2)</f>
        <v>52886</v>
      </c>
      <c r="G19" s="14">
        <f t="shared" ref="G19:G26" si="4">IF($E19&gt;=99999990,"",$M19)</f>
        <v>0.0505</v>
      </c>
      <c r="H19" s="15">
        <f t="shared" ref="H19:H26" si="5">IF($E19&gt;=99999990,"",MAX(0,MIN($C$10,$F19)-$E19))</f>
        <v>52886</v>
      </c>
      <c r="I19" s="15">
        <f t="shared" ref="I19:I26" si="6">IF($E19&gt;=99999990,"",$H19*$M19)</f>
        <v>2670.743</v>
      </c>
      <c r="K19" s="16">
        <f t="shared" ref="K19:K26" si="7">IF($E19&gt;=99999990,"",MAX(0,MIN($C$6,$F19)-$E19)*$M19)</f>
        <v>2670.743</v>
      </c>
      <c r="M19" s="35">
        <f t="array" ref="M19">INDEX('Tax Tables 2025'!$J$23:$Q$35,MATCH($C$7,'Tax Tables 2025'!$A$23:$A$35,0),1)</f>
        <v>0.0505</v>
      </c>
    </row>
    <row r="20">
      <c r="E20" s="18">
        <f t="array" ref="E20">INDEX('Tax Tables 2025'!$B$23:$I$35,MATCH($C$7,'Tax Tables 2025'!$A$23:$A$35,0),2)</f>
        <v>52886</v>
      </c>
      <c r="F20" s="19">
        <f t="array" ref="F20">INDEX('Tax Tables 2025'!$B$23:$I$35,MATCH($C$7,'Tax Tables 2025'!$A$23:$A$35,0),3)</f>
        <v>105775</v>
      </c>
      <c r="G20" s="20">
        <f t="shared" si="4"/>
        <v>0.0915</v>
      </c>
      <c r="H20" s="21">
        <f t="shared" si="5"/>
        <v>23614</v>
      </c>
      <c r="I20" s="21">
        <f t="shared" si="6"/>
        <v>2160.681</v>
      </c>
      <c r="K20" s="22">
        <f t="shared" si="7"/>
        <v>2938.431</v>
      </c>
      <c r="M20" s="35">
        <f t="array" ref="M20">INDEX('Tax Tables 2025'!$J$23:$Q$35,MATCH($C$7,'Tax Tables 2025'!$A$23:$A$35,0),2)</f>
        <v>0.0915</v>
      </c>
    </row>
    <row r="21" ht="18.0" customHeight="1">
      <c r="B21" s="6" t="s">
        <v>30</v>
      </c>
      <c r="C21" s="3"/>
      <c r="E21" s="12">
        <f t="array" ref="E21">INDEX('Tax Tables 2025'!$B$23:$I$35,MATCH($C$7,'Tax Tables 2025'!$A$23:$A$35,0),3)</f>
        <v>105775</v>
      </c>
      <c r="F21" s="13">
        <f t="array" ref="F21">INDEX('Tax Tables 2025'!$B$23:$I$35,MATCH($C$7,'Tax Tables 2025'!$A$23:$A$35,0),4)</f>
        <v>150000</v>
      </c>
      <c r="G21" s="14">
        <f t="shared" si="4"/>
        <v>0.1116</v>
      </c>
      <c r="H21" s="15">
        <f t="shared" si="5"/>
        <v>0</v>
      </c>
      <c r="I21" s="15">
        <f t="shared" si="6"/>
        <v>0</v>
      </c>
      <c r="K21" s="16">
        <f t="shared" si="7"/>
        <v>0</v>
      </c>
      <c r="M21" s="35">
        <f t="array" ref="M21">INDEX('Tax Tables 2025'!$J$23:$Q$35,MATCH($C$7,'Tax Tables 2025'!$A$23:$A$35,0),3)</f>
        <v>0.1116</v>
      </c>
    </row>
    <row r="22" ht="25.5" customHeight="1">
      <c r="B22" s="36" t="s">
        <v>31</v>
      </c>
      <c r="C22" s="37">
        <f>$C$6-$C$19</f>
        <v>65403.4245</v>
      </c>
      <c r="E22" s="18">
        <f t="array" ref="E22">INDEX('Tax Tables 2025'!$B$23:$I$35,MATCH($C$7,'Tax Tables 2025'!$A$23:$A$35,0),4)</f>
        <v>150000</v>
      </c>
      <c r="F22" s="19">
        <f t="array" ref="F22">INDEX('Tax Tables 2025'!$B$23:$I$35,MATCH($C$7,'Tax Tables 2025'!$A$23:$A$35,0),5)</f>
        <v>220000</v>
      </c>
      <c r="G22" s="20">
        <f t="shared" si="4"/>
        <v>0.1216</v>
      </c>
      <c r="H22" s="21">
        <f t="shared" si="5"/>
        <v>0</v>
      </c>
      <c r="I22" s="21">
        <f t="shared" si="6"/>
        <v>0</v>
      </c>
      <c r="K22" s="22">
        <f t="shared" si="7"/>
        <v>0</v>
      </c>
      <c r="M22" s="35">
        <f t="array" ref="M22">INDEX('Tax Tables 2025'!$J$23:$Q$35,MATCH($C$7,'Tax Tables 2025'!$A$23:$A$35,0),4)</f>
        <v>0.1216</v>
      </c>
    </row>
    <row r="23" ht="15.75" customHeight="1">
      <c r="B23" s="8" t="s">
        <v>32</v>
      </c>
      <c r="C23" s="23">
        <f>$C$22/12</f>
        <v>5450.285375</v>
      </c>
      <c r="E23" s="12">
        <f t="array" ref="E23">INDEX('Tax Tables 2025'!$B$23:$I$35,MATCH($C$7,'Tax Tables 2025'!$A$23:$A$35,0),5)</f>
        <v>220000</v>
      </c>
      <c r="F23" s="13">
        <f t="array" ref="F23">INDEX('Tax Tables 2025'!$B$23:$I$35,MATCH($C$7,'Tax Tables 2025'!$A$23:$A$35,0),6)</f>
        <v>99999999</v>
      </c>
      <c r="G23" s="14">
        <f t="shared" si="4"/>
        <v>0.1316</v>
      </c>
      <c r="H23" s="15">
        <f t="shared" si="5"/>
        <v>0</v>
      </c>
      <c r="I23" s="15">
        <f t="shared" si="6"/>
        <v>0</v>
      </c>
      <c r="K23" s="16">
        <f t="shared" si="7"/>
        <v>0</v>
      </c>
      <c r="M23" s="35">
        <f t="array" ref="M23">INDEX('Tax Tables 2025'!$J$23:$Q$35,MATCH($C$7,'Tax Tables 2025'!$A$23:$A$35,0),5)</f>
        <v>0.1316</v>
      </c>
    </row>
    <row r="24" ht="15.75" customHeight="1">
      <c r="B24" s="8" t="s">
        <v>33</v>
      </c>
      <c r="C24" s="23">
        <f>$C$22/26</f>
        <v>2515.516327</v>
      </c>
      <c r="E24" s="18">
        <f t="array" ref="E24">INDEX('Tax Tables 2025'!$B$23:$I$35,MATCH($C$7,'Tax Tables 2025'!$A$23:$A$35,0),6)</f>
        <v>99999999</v>
      </c>
      <c r="F24" s="19">
        <f t="array" ref="F24">INDEX('Tax Tables 2025'!$B$23:$I$35,MATCH($C$7,'Tax Tables 2025'!$A$23:$A$35,0),7)</f>
        <v>99999999</v>
      </c>
      <c r="G24" s="20" t="str">
        <f t="shared" si="4"/>
        <v/>
      </c>
      <c r="H24" s="21" t="str">
        <f t="shared" si="5"/>
        <v/>
      </c>
      <c r="I24" s="21" t="str">
        <f t="shared" si="6"/>
        <v/>
      </c>
      <c r="K24" s="22" t="str">
        <f t="shared" si="7"/>
        <v/>
      </c>
      <c r="M24" s="35">
        <f t="array" ref="M24">INDEX('Tax Tables 2025'!$J$23:$Q$35,MATCH($C$7,'Tax Tables 2025'!$A$23:$A$35,0),6)</f>
        <v>0.1316</v>
      </c>
    </row>
    <row r="25" ht="15.75" customHeight="1">
      <c r="B25" s="38" t="s">
        <v>34</v>
      </c>
      <c r="C25" s="39">
        <f>IF($C$6=0,0,$C$19/$C$6)</f>
        <v>0.2305479471</v>
      </c>
      <c r="E25" s="12">
        <f t="array" ref="E25">INDEX('Tax Tables 2025'!$B$23:$I$35,MATCH($C$7,'Tax Tables 2025'!$A$23:$A$35,0),7)</f>
        <v>99999999</v>
      </c>
      <c r="F25" s="13">
        <f t="array" ref="F25">INDEX('Tax Tables 2025'!$B$23:$I$35,MATCH($C$7,'Tax Tables 2025'!$A$23:$A$35,0),8)</f>
        <v>99999999</v>
      </c>
      <c r="G25" s="14" t="str">
        <f t="shared" si="4"/>
        <v/>
      </c>
      <c r="H25" s="15" t="str">
        <f t="shared" si="5"/>
        <v/>
      </c>
      <c r="I25" s="15" t="str">
        <f t="shared" si="6"/>
        <v/>
      </c>
      <c r="K25" s="16" t="str">
        <f t="shared" si="7"/>
        <v/>
      </c>
      <c r="M25" s="35">
        <f t="array" ref="M25">INDEX('Tax Tables 2025'!$J$23:$Q$35,MATCH($C$7,'Tax Tables 2025'!$A$23:$A$35,0),7)</f>
        <v>0.1316</v>
      </c>
    </row>
    <row r="26" ht="15.75" customHeight="1">
      <c r="B26" s="38" t="s">
        <v>35</v>
      </c>
      <c r="C26" s="40">
        <f>LOOKUP($C$10,'Tax Tables 2025'!$B$5:$B$9,'Tax Tables 2025'!$C$5:$C$9)*(1-IF($C$7="Quebec",'Tax Tables 2025'!$F$18,0))+LOOKUP($C$10,$E$19:$E$26,$M$19:$M$26)</f>
        <v>0.2965</v>
      </c>
      <c r="E26" s="18">
        <f t="array" ref="E26">INDEX('Tax Tables 2025'!$B$23:$I$35,MATCH($C$7,'Tax Tables 2025'!$A$23:$A$35,0),8)</f>
        <v>99999999</v>
      </c>
      <c r="F26" s="19">
        <f>99999999</f>
        <v>99999999</v>
      </c>
      <c r="G26" s="20" t="str">
        <f t="shared" si="4"/>
        <v/>
      </c>
      <c r="H26" s="21" t="str">
        <f t="shared" si="5"/>
        <v/>
      </c>
      <c r="I26" s="21" t="str">
        <f t="shared" si="6"/>
        <v/>
      </c>
      <c r="K26" s="22" t="str">
        <f t="shared" si="7"/>
        <v/>
      </c>
      <c r="M26" s="35">
        <f t="array" ref="M26">INDEX('Tax Tables 2025'!$J$23:$Q$35,MATCH($C$7,'Tax Tables 2025'!$A$23:$A$35,0),8)</f>
        <v>0.1316</v>
      </c>
    </row>
    <row r="27" ht="15.75" customHeight="1">
      <c r="E27" s="24" t="s">
        <v>19</v>
      </c>
      <c r="H27" s="25">
        <f>SUM($H$19:$H$26)</f>
        <v>76500</v>
      </c>
      <c r="I27" s="25">
        <f>SUM($I$19:$I$26)</f>
        <v>4831.424</v>
      </c>
      <c r="K27" s="26">
        <f>SUM($K$19:$K$26)</f>
        <v>5609.174</v>
      </c>
    </row>
    <row r="28" ht="18.0" customHeight="1">
      <c r="B28" s="6" t="s">
        <v>36</v>
      </c>
      <c r="C28" s="3"/>
      <c r="E28" s="8" t="s">
        <v>37</v>
      </c>
      <c r="I28" s="27">
        <f t="array" ref="I28">$M$19*INDEX('Tax Tables 2025'!$R$23:$R$35,MATCH($C$7,'Tax Tables 2025'!$A$23:$A$35,0),1)</f>
        <v>643.7235</v>
      </c>
      <c r="K28" s="28">
        <f t="array" ref="K28">$M$19*INDEX('Tax Tables 2025'!$R$23:$R$35,MATCH($C$7,'Tax Tables 2025'!$A$23:$A$35,0),1)</f>
        <v>643.7235</v>
      </c>
    </row>
    <row r="29" ht="15.75" customHeight="1">
      <c r="B29" s="8" t="s">
        <v>38</v>
      </c>
      <c r="C29" s="23">
        <f>$C$9</f>
        <v>8500</v>
      </c>
      <c r="E29" s="29" t="s">
        <v>39</v>
      </c>
      <c r="F29" s="30"/>
      <c r="G29" s="30"/>
      <c r="H29" s="30"/>
      <c r="I29" s="31">
        <f>MAX(0,$I$27-$I$28)</f>
        <v>4187.7005</v>
      </c>
      <c r="K29" s="32">
        <f>MAX(0,$K$27-$I$28)</f>
        <v>4965.4505</v>
      </c>
    </row>
    <row r="30" ht="15.75" customHeight="1">
      <c r="B30" s="8" t="s">
        <v>40</v>
      </c>
      <c r="C30" s="23">
        <f>$K$15+$K$29</f>
        <v>16609.2455</v>
      </c>
    </row>
    <row r="31" ht="15.75" customHeight="1">
      <c r="B31" s="8" t="s">
        <v>41</v>
      </c>
      <c r="C31" s="23">
        <f>$C$17+$C$18</f>
        <v>14088.9955</v>
      </c>
      <c r="E31" s="6" t="s">
        <v>42</v>
      </c>
      <c r="F31" s="2"/>
      <c r="G31" s="2"/>
      <c r="H31" s="2"/>
      <c r="I31" s="3"/>
    </row>
    <row r="32" ht="15.75" customHeight="1">
      <c r="B32" s="41" t="s">
        <v>43</v>
      </c>
      <c r="C32" s="42">
        <f>$C$30-$C$31</f>
        <v>2520.25</v>
      </c>
      <c r="E32" s="43" t="s">
        <v>44</v>
      </c>
      <c r="F32" s="43" t="s">
        <v>45</v>
      </c>
      <c r="G32" s="43" t="s">
        <v>9</v>
      </c>
      <c r="H32" s="43" t="s">
        <v>46</v>
      </c>
    </row>
    <row r="33" ht="15.75" customHeight="1">
      <c r="B33" s="8" t="s">
        <v>47</v>
      </c>
      <c r="C33" s="44">
        <f>IF($C$29=0,0,$C$32/$C$29)</f>
        <v>0.2965</v>
      </c>
      <c r="E33" s="45" t="s">
        <v>48</v>
      </c>
      <c r="F33" s="15">
        <f>MAX(0,MIN($C$6,'Tax Tables 2025'!$F$5)-'Tax Tables 2025'!$F$6)</f>
        <v>67800</v>
      </c>
      <c r="G33" s="46">
        <f>IF($C$7="Quebec",'Tax Tables 2025'!$F$8,'Tax Tables 2025'!$F$7)</f>
        <v>0.0595</v>
      </c>
      <c r="H33" s="47">
        <f>$C$13</f>
        <v>4034.1</v>
      </c>
    </row>
    <row r="34" ht="15.75" customHeight="1">
      <c r="E34" s="38" t="s">
        <v>49</v>
      </c>
      <c r="F34" s="21">
        <f>MAX(0,MIN($C$6,'Tax Tables 2025'!$F$9)-'Tax Tables 2025'!$F$5)</f>
        <v>9900</v>
      </c>
      <c r="G34" s="48">
        <f>'Tax Tables 2025'!$F$10</f>
        <v>0.04</v>
      </c>
      <c r="H34" s="49">
        <f>$C$14</f>
        <v>396</v>
      </c>
    </row>
    <row r="35" ht="15.75" customHeight="1">
      <c r="B35" s="50" t="s">
        <v>50</v>
      </c>
      <c r="C35" s="23">
        <f>MIN($C$6*'Tax Tables 2025'!$F$17,'Tax Tables 2025'!$F$16)</f>
        <v>15300</v>
      </c>
      <c r="E35" s="45" t="s">
        <v>51</v>
      </c>
      <c r="F35" s="15">
        <f>MIN($C$6,'Tax Tables 2025'!$F$11)</f>
        <v>65700</v>
      </c>
      <c r="G35" s="46">
        <f>IF($C$7="Quebec",'Tax Tables 2025'!$F$13,'Tax Tables 2025'!$F$12)</f>
        <v>0.0164</v>
      </c>
      <c r="H35" s="47">
        <f>$C$15</f>
        <v>1077.48</v>
      </c>
    </row>
    <row r="36" ht="15.75" customHeight="1">
      <c r="B36" s="51" t="str">
        <f>IF($C$9&gt;$C$35,"⚠ Contribution exceeds estimated room","✓ Within estimated room")</f>
        <v>✓ Within estimated room</v>
      </c>
      <c r="E36" s="38" t="s">
        <v>52</v>
      </c>
      <c r="F36" s="21">
        <f>IF($C$7="Quebec",MIN($C$6,'Tax Tables 2025'!$F$14),0)</f>
        <v>0</v>
      </c>
      <c r="G36" s="48">
        <f>IF($C$7="Quebec",'Tax Tables 2025'!$F$15,0)</f>
        <v>0</v>
      </c>
      <c r="H36" s="49">
        <f>$C$16</f>
        <v>0</v>
      </c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B1:K1"/>
    <mergeCell ref="B2:K2"/>
    <mergeCell ref="B3:K3"/>
    <mergeCell ref="B5:C5"/>
    <mergeCell ref="E5:I5"/>
    <mergeCell ref="B12:C12"/>
    <mergeCell ref="E12:G12"/>
    <mergeCell ref="E28:H28"/>
    <mergeCell ref="E29:H29"/>
    <mergeCell ref="E31:I31"/>
    <mergeCell ref="E13:H13"/>
    <mergeCell ref="E14:H14"/>
    <mergeCell ref="E15:H15"/>
    <mergeCell ref="E17:I17"/>
    <mergeCell ref="B21:C21"/>
    <mergeCell ref="E27:G27"/>
    <mergeCell ref="B28:C28"/>
  </mergeCells>
  <dataValidations>
    <dataValidation type="list" allowBlank="1" sqref="C7">
      <formula1>'Tax Tables 2025'!$A$23:$A$35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4.0"/>
    <col customWidth="1" min="2" max="2" width="13.0"/>
    <col customWidth="1" min="3" max="3" width="11.0"/>
    <col customWidth="1" min="4" max="4" width="3.0"/>
    <col customWidth="1" min="5" max="5" width="34.0"/>
    <col customWidth="1" min="6" max="6" width="13.0"/>
    <col customWidth="1" min="7" max="9" width="11.0"/>
    <col customWidth="1" min="10" max="17" width="9.0"/>
    <col customWidth="1" min="18" max="18" width="13.0"/>
    <col customWidth="1" min="19" max="26" width="8.71"/>
  </cols>
  <sheetData>
    <row r="1" ht="24.0" customHeight="1">
      <c r="A1" s="52" t="s">
        <v>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3">
      <c r="A3" s="6" t="s">
        <v>54</v>
      </c>
      <c r="B3" s="2"/>
      <c r="C3" s="3"/>
      <c r="E3" s="6" t="s">
        <v>55</v>
      </c>
      <c r="F3" s="3"/>
    </row>
    <row r="4">
      <c r="A4" s="43" t="s">
        <v>56</v>
      </c>
      <c r="B4" s="43" t="s">
        <v>57</v>
      </c>
      <c r="C4" s="43" t="s">
        <v>9</v>
      </c>
      <c r="E4" s="53" t="s">
        <v>44</v>
      </c>
      <c r="F4" s="43" t="s">
        <v>58</v>
      </c>
    </row>
    <row r="5">
      <c r="A5" s="54" t="s">
        <v>59</v>
      </c>
      <c r="B5" s="55">
        <v>0.0</v>
      </c>
      <c r="C5" s="56">
        <v>0.145</v>
      </c>
      <c r="E5" s="54" t="s">
        <v>60</v>
      </c>
      <c r="F5" s="57">
        <v>71300.0</v>
      </c>
    </row>
    <row r="6">
      <c r="A6" s="54" t="s">
        <v>61</v>
      </c>
      <c r="B6" s="55">
        <v>57375.0</v>
      </c>
      <c r="C6" s="56">
        <v>0.205</v>
      </c>
      <c r="E6" s="54" t="s">
        <v>62</v>
      </c>
      <c r="F6" s="57">
        <v>3500.0</v>
      </c>
    </row>
    <row r="7">
      <c r="A7" s="54" t="s">
        <v>63</v>
      </c>
      <c r="B7" s="55">
        <v>114750.0</v>
      </c>
      <c r="C7" s="56">
        <v>0.26</v>
      </c>
      <c r="E7" s="54" t="s">
        <v>64</v>
      </c>
      <c r="F7" s="56">
        <v>0.0595</v>
      </c>
    </row>
    <row r="8">
      <c r="A8" s="54" t="s">
        <v>65</v>
      </c>
      <c r="B8" s="55">
        <v>177882.0</v>
      </c>
      <c r="C8" s="56">
        <v>0.29</v>
      </c>
      <c r="E8" s="54" t="s">
        <v>66</v>
      </c>
      <c r="F8" s="56">
        <v>0.064</v>
      </c>
    </row>
    <row r="9">
      <c r="A9" s="54" t="s">
        <v>67</v>
      </c>
      <c r="B9" s="55">
        <v>253414.0</v>
      </c>
      <c r="C9" s="56">
        <v>0.33</v>
      </c>
      <c r="E9" s="54" t="s">
        <v>68</v>
      </c>
      <c r="F9" s="57">
        <v>81200.0</v>
      </c>
    </row>
    <row r="10">
      <c r="E10" s="54" t="s">
        <v>69</v>
      </c>
      <c r="F10" s="56">
        <v>0.04</v>
      </c>
    </row>
    <row r="11">
      <c r="A11" s="58" t="s">
        <v>70</v>
      </c>
      <c r="B11" s="55">
        <v>16129.0</v>
      </c>
      <c r="E11" s="54" t="s">
        <v>71</v>
      </c>
      <c r="F11" s="57">
        <v>65700.0</v>
      </c>
    </row>
    <row r="12">
      <c r="A12" s="59" t="s">
        <v>72</v>
      </c>
      <c r="E12" s="54" t="s">
        <v>73</v>
      </c>
      <c r="F12" s="56">
        <v>0.0164</v>
      </c>
    </row>
    <row r="13">
      <c r="E13" s="54" t="s">
        <v>74</v>
      </c>
      <c r="F13" s="56">
        <v>0.0131</v>
      </c>
    </row>
    <row r="14">
      <c r="E14" s="54" t="s">
        <v>75</v>
      </c>
      <c r="F14" s="57">
        <v>98000.0</v>
      </c>
    </row>
    <row r="15">
      <c r="E15" s="54" t="s">
        <v>76</v>
      </c>
      <c r="F15" s="60">
        <v>0.00494</v>
      </c>
    </row>
    <row r="16">
      <c r="E16" s="54" t="s">
        <v>77</v>
      </c>
      <c r="F16" s="57">
        <v>32490.0</v>
      </c>
    </row>
    <row r="17">
      <c r="E17" s="54" t="s">
        <v>78</v>
      </c>
      <c r="F17" s="61">
        <v>0.18</v>
      </c>
    </row>
    <row r="18">
      <c r="E18" s="54" t="s">
        <v>79</v>
      </c>
      <c r="F18" s="61">
        <v>0.165</v>
      </c>
    </row>
    <row r="21" ht="15.75" customHeight="1">
      <c r="A21" s="6" t="s">
        <v>80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3"/>
    </row>
    <row r="22" ht="15.75" customHeight="1">
      <c r="A22" s="43" t="s">
        <v>13</v>
      </c>
      <c r="B22" s="43" t="s">
        <v>81</v>
      </c>
      <c r="C22" s="43" t="s">
        <v>82</v>
      </c>
      <c r="D22" s="43" t="s">
        <v>83</v>
      </c>
      <c r="E22" s="43" t="s">
        <v>84</v>
      </c>
      <c r="F22" s="43" t="s">
        <v>85</v>
      </c>
      <c r="G22" s="43" t="s">
        <v>86</v>
      </c>
      <c r="H22" s="43" t="s">
        <v>87</v>
      </c>
      <c r="I22" s="43" t="s">
        <v>88</v>
      </c>
      <c r="J22" s="43" t="s">
        <v>89</v>
      </c>
      <c r="K22" s="43" t="s">
        <v>90</v>
      </c>
      <c r="L22" s="43" t="s">
        <v>91</v>
      </c>
      <c r="M22" s="43" t="s">
        <v>92</v>
      </c>
      <c r="N22" s="43" t="s">
        <v>93</v>
      </c>
      <c r="O22" s="43" t="s">
        <v>94</v>
      </c>
      <c r="P22" s="43" t="s">
        <v>95</v>
      </c>
      <c r="Q22" s="43" t="s">
        <v>96</v>
      </c>
      <c r="R22" s="43" t="s">
        <v>97</v>
      </c>
    </row>
    <row r="23" ht="15.75" customHeight="1">
      <c r="A23" s="54" t="s">
        <v>98</v>
      </c>
      <c r="B23" s="62">
        <v>0.0</v>
      </c>
      <c r="C23" s="62">
        <v>60000.0</v>
      </c>
      <c r="D23" s="62">
        <v>151234.0</v>
      </c>
      <c r="E23" s="62">
        <v>181481.0</v>
      </c>
      <c r="F23" s="62">
        <v>241974.0</v>
      </c>
      <c r="G23" s="62">
        <v>362961.0</v>
      </c>
      <c r="H23" s="62">
        <v>9.9999999E7</v>
      </c>
      <c r="I23" s="62">
        <v>9.9999999E7</v>
      </c>
      <c r="J23" s="56">
        <v>0.08</v>
      </c>
      <c r="K23" s="56">
        <v>0.1</v>
      </c>
      <c r="L23" s="56">
        <v>0.12</v>
      </c>
      <c r="M23" s="56">
        <v>0.13</v>
      </c>
      <c r="N23" s="56">
        <v>0.14</v>
      </c>
      <c r="O23" s="56">
        <v>0.15</v>
      </c>
      <c r="P23" s="56">
        <v>0.15</v>
      </c>
      <c r="Q23" s="56">
        <v>0.15</v>
      </c>
      <c r="R23" s="55">
        <v>22323.0</v>
      </c>
    </row>
    <row r="24" ht="15.75" customHeight="1">
      <c r="A24" s="54" t="s">
        <v>99</v>
      </c>
      <c r="B24" s="62">
        <v>0.0</v>
      </c>
      <c r="C24" s="62">
        <v>49279.0</v>
      </c>
      <c r="D24" s="62">
        <v>98560.0</v>
      </c>
      <c r="E24" s="62">
        <v>113158.0</v>
      </c>
      <c r="F24" s="62">
        <v>137407.0</v>
      </c>
      <c r="G24" s="62">
        <v>186306.0</v>
      </c>
      <c r="H24" s="62">
        <v>259829.0</v>
      </c>
      <c r="I24" s="62">
        <v>9.9999999E7</v>
      </c>
      <c r="J24" s="56">
        <v>0.0506</v>
      </c>
      <c r="K24" s="56">
        <v>0.077</v>
      </c>
      <c r="L24" s="56">
        <v>0.105</v>
      </c>
      <c r="M24" s="56">
        <v>0.1229</v>
      </c>
      <c r="N24" s="56">
        <v>0.147</v>
      </c>
      <c r="O24" s="56">
        <v>0.168</v>
      </c>
      <c r="P24" s="56">
        <v>0.205</v>
      </c>
      <c r="Q24" s="56">
        <v>0.205</v>
      </c>
      <c r="R24" s="55">
        <v>12932.0</v>
      </c>
    </row>
    <row r="25" ht="15.75" customHeight="1">
      <c r="A25" s="54" t="s">
        <v>100</v>
      </c>
      <c r="B25" s="62">
        <v>0.0</v>
      </c>
      <c r="C25" s="62">
        <v>47564.0</v>
      </c>
      <c r="D25" s="62">
        <v>101200.0</v>
      </c>
      <c r="E25" s="62">
        <v>9.9999999E7</v>
      </c>
      <c r="F25" s="62">
        <v>9.9999999E7</v>
      </c>
      <c r="G25" s="62">
        <v>9.9999999E7</v>
      </c>
      <c r="H25" s="62">
        <v>9.9999999E7</v>
      </c>
      <c r="I25" s="62">
        <v>9.9999999E7</v>
      </c>
      <c r="J25" s="56">
        <v>0.108</v>
      </c>
      <c r="K25" s="56">
        <v>0.1275</v>
      </c>
      <c r="L25" s="56">
        <v>0.174</v>
      </c>
      <c r="M25" s="56">
        <v>0.174</v>
      </c>
      <c r="N25" s="56">
        <v>0.174</v>
      </c>
      <c r="O25" s="56">
        <v>0.174</v>
      </c>
      <c r="P25" s="56">
        <v>0.174</v>
      </c>
      <c r="Q25" s="56">
        <v>0.174</v>
      </c>
      <c r="R25" s="55">
        <v>15969.0</v>
      </c>
    </row>
    <row r="26" ht="15.75" customHeight="1">
      <c r="A26" s="54" t="s">
        <v>101</v>
      </c>
      <c r="B26" s="62">
        <v>0.0</v>
      </c>
      <c r="C26" s="62">
        <v>51306.0</v>
      </c>
      <c r="D26" s="62">
        <v>102614.0</v>
      </c>
      <c r="E26" s="62">
        <v>190060.0</v>
      </c>
      <c r="F26" s="62">
        <v>9.9999999E7</v>
      </c>
      <c r="G26" s="62">
        <v>9.9999999E7</v>
      </c>
      <c r="H26" s="62">
        <v>9.9999999E7</v>
      </c>
      <c r="I26" s="62">
        <v>9.9999999E7</v>
      </c>
      <c r="J26" s="56">
        <v>0.094</v>
      </c>
      <c r="K26" s="56">
        <v>0.14</v>
      </c>
      <c r="L26" s="56">
        <v>0.16</v>
      </c>
      <c r="M26" s="56">
        <v>0.195</v>
      </c>
      <c r="N26" s="56">
        <v>0.195</v>
      </c>
      <c r="O26" s="56">
        <v>0.195</v>
      </c>
      <c r="P26" s="56">
        <v>0.195</v>
      </c>
      <c r="Q26" s="56">
        <v>0.195</v>
      </c>
      <c r="R26" s="55">
        <v>13396.0</v>
      </c>
    </row>
    <row r="27" ht="15.75" customHeight="1">
      <c r="A27" s="54" t="s">
        <v>102</v>
      </c>
      <c r="B27" s="62">
        <v>0.0</v>
      </c>
      <c r="C27" s="62">
        <v>44192.0</v>
      </c>
      <c r="D27" s="62">
        <v>88382.0</v>
      </c>
      <c r="E27" s="62">
        <v>157792.0</v>
      </c>
      <c r="F27" s="62">
        <v>220910.0</v>
      </c>
      <c r="G27" s="62">
        <v>282214.0</v>
      </c>
      <c r="H27" s="62">
        <v>564429.0</v>
      </c>
      <c r="I27" s="62">
        <v>1128858.0</v>
      </c>
      <c r="J27" s="56">
        <v>0.087</v>
      </c>
      <c r="K27" s="56">
        <v>0.145</v>
      </c>
      <c r="L27" s="56">
        <v>0.158</v>
      </c>
      <c r="M27" s="56">
        <v>0.178</v>
      </c>
      <c r="N27" s="56">
        <v>0.198</v>
      </c>
      <c r="O27" s="56">
        <v>0.208</v>
      </c>
      <c r="P27" s="56">
        <v>0.213</v>
      </c>
      <c r="Q27" s="56">
        <v>0.218</v>
      </c>
      <c r="R27" s="55">
        <v>11067.0</v>
      </c>
    </row>
    <row r="28" ht="15.75" customHeight="1">
      <c r="A28" s="54" t="s">
        <v>103</v>
      </c>
      <c r="B28" s="62">
        <v>0.0</v>
      </c>
      <c r="C28" s="62">
        <v>51964.0</v>
      </c>
      <c r="D28" s="62">
        <v>103930.0</v>
      </c>
      <c r="E28" s="62">
        <v>168967.0</v>
      </c>
      <c r="F28" s="62">
        <v>9.9999999E7</v>
      </c>
      <c r="G28" s="62">
        <v>9.9999999E7</v>
      </c>
      <c r="H28" s="62">
        <v>9.9999999E7</v>
      </c>
      <c r="I28" s="62">
        <v>9.9999999E7</v>
      </c>
      <c r="J28" s="56">
        <v>0.059</v>
      </c>
      <c r="K28" s="56">
        <v>0.086</v>
      </c>
      <c r="L28" s="56">
        <v>0.122</v>
      </c>
      <c r="M28" s="56">
        <v>0.1405</v>
      </c>
      <c r="N28" s="56">
        <v>0.1405</v>
      </c>
      <c r="O28" s="56">
        <v>0.1405</v>
      </c>
      <c r="P28" s="56">
        <v>0.1405</v>
      </c>
      <c r="Q28" s="56">
        <v>0.1405</v>
      </c>
      <c r="R28" s="55">
        <v>17842.0</v>
      </c>
    </row>
    <row r="29" ht="15.75" customHeight="1">
      <c r="A29" s="54" t="s">
        <v>104</v>
      </c>
      <c r="B29" s="62">
        <v>0.0</v>
      </c>
      <c r="C29" s="62">
        <v>30507.0</v>
      </c>
      <c r="D29" s="62">
        <v>61015.0</v>
      </c>
      <c r="E29" s="62">
        <v>95883.0</v>
      </c>
      <c r="F29" s="62">
        <v>154650.0</v>
      </c>
      <c r="G29" s="62">
        <v>9.9999999E7</v>
      </c>
      <c r="H29" s="62">
        <v>9.9999999E7</v>
      </c>
      <c r="I29" s="62">
        <v>9.9999999E7</v>
      </c>
      <c r="J29" s="56">
        <v>0.0879</v>
      </c>
      <c r="K29" s="56">
        <v>0.1495</v>
      </c>
      <c r="L29" s="56">
        <v>0.1667</v>
      </c>
      <c r="M29" s="56">
        <v>0.175</v>
      </c>
      <c r="N29" s="56">
        <v>0.21</v>
      </c>
      <c r="O29" s="56">
        <v>0.21</v>
      </c>
      <c r="P29" s="56">
        <v>0.21</v>
      </c>
      <c r="Q29" s="56">
        <v>0.21</v>
      </c>
      <c r="R29" s="55">
        <v>11744.0</v>
      </c>
    </row>
    <row r="30" ht="15.75" customHeight="1">
      <c r="A30" s="54" t="s">
        <v>105</v>
      </c>
      <c r="B30" s="62">
        <v>0.0</v>
      </c>
      <c r="C30" s="62">
        <v>54707.0</v>
      </c>
      <c r="D30" s="62">
        <v>109413.0</v>
      </c>
      <c r="E30" s="62">
        <v>177881.0</v>
      </c>
      <c r="F30" s="62">
        <v>9.9999999E7</v>
      </c>
      <c r="G30" s="62">
        <v>9.9999999E7</v>
      </c>
      <c r="H30" s="62">
        <v>9.9999999E7</v>
      </c>
      <c r="I30" s="62">
        <v>9.9999999E7</v>
      </c>
      <c r="J30" s="56">
        <v>0.04</v>
      </c>
      <c r="K30" s="56">
        <v>0.07</v>
      </c>
      <c r="L30" s="56">
        <v>0.09</v>
      </c>
      <c r="M30" s="56">
        <v>0.115</v>
      </c>
      <c r="N30" s="56">
        <v>0.115</v>
      </c>
      <c r="O30" s="56">
        <v>0.115</v>
      </c>
      <c r="P30" s="56">
        <v>0.115</v>
      </c>
      <c r="Q30" s="56">
        <v>0.115</v>
      </c>
      <c r="R30" s="55">
        <v>19274.0</v>
      </c>
    </row>
    <row r="31" ht="15.75" customHeight="1">
      <c r="A31" s="54" t="s">
        <v>14</v>
      </c>
      <c r="B31" s="62">
        <v>0.0</v>
      </c>
      <c r="C31" s="62">
        <v>52886.0</v>
      </c>
      <c r="D31" s="62">
        <v>105775.0</v>
      </c>
      <c r="E31" s="62">
        <v>150000.0</v>
      </c>
      <c r="F31" s="62">
        <v>220000.0</v>
      </c>
      <c r="G31" s="62">
        <v>9.9999999E7</v>
      </c>
      <c r="H31" s="62">
        <v>9.9999999E7</v>
      </c>
      <c r="I31" s="62">
        <v>9.9999999E7</v>
      </c>
      <c r="J31" s="56">
        <v>0.0505</v>
      </c>
      <c r="K31" s="56">
        <v>0.0915</v>
      </c>
      <c r="L31" s="56">
        <v>0.1116</v>
      </c>
      <c r="M31" s="56">
        <v>0.1216</v>
      </c>
      <c r="N31" s="56">
        <v>0.1316</v>
      </c>
      <c r="O31" s="56">
        <v>0.1316</v>
      </c>
      <c r="P31" s="56">
        <v>0.1316</v>
      </c>
      <c r="Q31" s="56">
        <v>0.1316</v>
      </c>
      <c r="R31" s="55">
        <v>12747.0</v>
      </c>
    </row>
    <row r="32" ht="15.75" customHeight="1">
      <c r="A32" s="54" t="s">
        <v>106</v>
      </c>
      <c r="B32" s="62">
        <v>0.0</v>
      </c>
      <c r="C32" s="62">
        <v>33328.0</v>
      </c>
      <c r="D32" s="62">
        <v>64656.0</v>
      </c>
      <c r="E32" s="62">
        <v>105000.0</v>
      </c>
      <c r="F32" s="62">
        <v>140000.0</v>
      </c>
      <c r="G32" s="62">
        <v>9.9999999E7</v>
      </c>
      <c r="H32" s="62">
        <v>9.9999999E7</v>
      </c>
      <c r="I32" s="62">
        <v>9.9999999E7</v>
      </c>
      <c r="J32" s="56">
        <v>0.095</v>
      </c>
      <c r="K32" s="56">
        <v>0.1347</v>
      </c>
      <c r="L32" s="56">
        <v>0.166</v>
      </c>
      <c r="M32" s="56">
        <v>0.1762</v>
      </c>
      <c r="N32" s="56">
        <v>0.19</v>
      </c>
      <c r="O32" s="56">
        <v>0.19</v>
      </c>
      <c r="P32" s="56">
        <v>0.19</v>
      </c>
      <c r="Q32" s="56">
        <v>0.19</v>
      </c>
      <c r="R32" s="55">
        <v>14250.0</v>
      </c>
    </row>
    <row r="33" ht="15.75" customHeight="1">
      <c r="A33" s="54" t="s">
        <v>107</v>
      </c>
      <c r="B33" s="62">
        <v>0.0</v>
      </c>
      <c r="C33" s="62">
        <v>53255.0</v>
      </c>
      <c r="D33" s="62">
        <v>106495.0</v>
      </c>
      <c r="E33" s="62">
        <v>129590.0</v>
      </c>
      <c r="F33" s="62">
        <v>9.9999999E7</v>
      </c>
      <c r="G33" s="62">
        <v>9.9999999E7</v>
      </c>
      <c r="H33" s="62">
        <v>9.9999999E7</v>
      </c>
      <c r="I33" s="62">
        <v>9.9999999E7</v>
      </c>
      <c r="J33" s="56">
        <v>0.14</v>
      </c>
      <c r="K33" s="56">
        <v>0.19</v>
      </c>
      <c r="L33" s="56">
        <v>0.24</v>
      </c>
      <c r="M33" s="56">
        <v>0.2575</v>
      </c>
      <c r="N33" s="56">
        <v>0.2575</v>
      </c>
      <c r="O33" s="56">
        <v>0.2575</v>
      </c>
      <c r="P33" s="56">
        <v>0.2575</v>
      </c>
      <c r="Q33" s="56">
        <v>0.2575</v>
      </c>
      <c r="R33" s="55">
        <v>18571.0</v>
      </c>
    </row>
    <row r="34" ht="15.75" customHeight="1">
      <c r="A34" s="54" t="s">
        <v>108</v>
      </c>
      <c r="B34" s="62">
        <v>0.0</v>
      </c>
      <c r="C34" s="62">
        <v>53463.0</v>
      </c>
      <c r="D34" s="62">
        <v>152750.0</v>
      </c>
      <c r="E34" s="62">
        <v>9.9999999E7</v>
      </c>
      <c r="F34" s="62">
        <v>9.9999999E7</v>
      </c>
      <c r="G34" s="62">
        <v>9.9999999E7</v>
      </c>
      <c r="H34" s="62">
        <v>9.9999999E7</v>
      </c>
      <c r="I34" s="62">
        <v>9.9999999E7</v>
      </c>
      <c r="J34" s="56">
        <v>0.105</v>
      </c>
      <c r="K34" s="56">
        <v>0.125</v>
      </c>
      <c r="L34" s="56">
        <v>0.145</v>
      </c>
      <c r="M34" s="56">
        <v>0.145</v>
      </c>
      <c r="N34" s="56">
        <v>0.145</v>
      </c>
      <c r="O34" s="56">
        <v>0.145</v>
      </c>
      <c r="P34" s="56">
        <v>0.145</v>
      </c>
      <c r="Q34" s="56">
        <v>0.145</v>
      </c>
      <c r="R34" s="55">
        <v>18991.0</v>
      </c>
    </row>
    <row r="35" ht="15.75" customHeight="1">
      <c r="A35" s="54" t="s">
        <v>109</v>
      </c>
      <c r="B35" s="62">
        <v>0.0</v>
      </c>
      <c r="C35" s="62">
        <v>57375.0</v>
      </c>
      <c r="D35" s="62">
        <v>114750.0</v>
      </c>
      <c r="E35" s="62">
        <v>177882.0</v>
      </c>
      <c r="F35" s="62">
        <v>500000.0</v>
      </c>
      <c r="G35" s="62">
        <v>9.9999999E7</v>
      </c>
      <c r="H35" s="62">
        <v>9.9999999E7</v>
      </c>
      <c r="I35" s="62">
        <v>9.9999999E7</v>
      </c>
      <c r="J35" s="56">
        <v>0.064</v>
      </c>
      <c r="K35" s="56">
        <v>0.09</v>
      </c>
      <c r="L35" s="56">
        <v>0.109</v>
      </c>
      <c r="M35" s="56">
        <v>0.128</v>
      </c>
      <c r="N35" s="56">
        <v>0.15</v>
      </c>
      <c r="O35" s="56">
        <v>0.15</v>
      </c>
      <c r="P35" s="56">
        <v>0.15</v>
      </c>
      <c r="Q35" s="56">
        <v>0.15</v>
      </c>
      <c r="R35" s="55">
        <v>16129.0</v>
      </c>
    </row>
    <row r="36" ht="15.75" customHeight="1"/>
    <row r="37" ht="15.75" customHeight="1">
      <c r="A37" s="59" t="s">
        <v>110</v>
      </c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R1"/>
    <mergeCell ref="A3:C3"/>
    <mergeCell ref="E3:F3"/>
    <mergeCell ref="A12:C13"/>
    <mergeCell ref="A21:R21"/>
    <mergeCell ref="A37:R38"/>
  </mergeCells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0"/>
    <col customWidth="1" min="2" max="2" width="110.0"/>
    <col customWidth="1" min="3" max="26" width="8.71"/>
  </cols>
  <sheetData>
    <row r="1" ht="24.0" customHeight="1">
      <c r="B1" s="63" t="s">
        <v>111</v>
      </c>
    </row>
    <row r="3">
      <c r="B3" s="64" t="s">
        <v>112</v>
      </c>
    </row>
    <row r="4" ht="15.0" customHeight="1">
      <c r="B4" s="65" t="s">
        <v>113</v>
      </c>
    </row>
    <row r="5" ht="15.0" customHeight="1">
      <c r="B5" s="65" t="s">
        <v>114</v>
      </c>
    </row>
    <row r="6" ht="15.0" customHeight="1">
      <c r="B6" s="65" t="s">
        <v>115</v>
      </c>
    </row>
    <row r="7" ht="15.0" customHeight="1">
      <c r="B7" s="65" t="s">
        <v>116</v>
      </c>
    </row>
    <row r="9">
      <c r="B9" s="64" t="s">
        <v>117</v>
      </c>
    </row>
    <row r="10" ht="15.0" customHeight="1">
      <c r="B10" s="65" t="s">
        <v>118</v>
      </c>
    </row>
    <row r="11" ht="15.0" customHeight="1">
      <c r="B11" s="65" t="s">
        <v>119</v>
      </c>
    </row>
    <row r="12" ht="15.0" customHeight="1">
      <c r="B12" s="65" t="s">
        <v>120</v>
      </c>
    </row>
    <row r="13" ht="15.0" customHeight="1">
      <c r="B13" s="65" t="s">
        <v>121</v>
      </c>
    </row>
    <row r="14" ht="15.0" customHeight="1">
      <c r="B14" s="65" t="s">
        <v>122</v>
      </c>
    </row>
    <row r="15" ht="15.0" customHeight="1">
      <c r="B15" s="65" t="s">
        <v>123</v>
      </c>
    </row>
    <row r="17">
      <c r="B17" s="64" t="s">
        <v>124</v>
      </c>
    </row>
    <row r="18" ht="15.0" customHeight="1">
      <c r="B18" s="65" t="s">
        <v>125</v>
      </c>
    </row>
    <row r="19" ht="15.0" customHeight="1">
      <c r="B19" s="65" t="s">
        <v>126</v>
      </c>
    </row>
    <row r="20" ht="15.0" customHeight="1">
      <c r="B20" s="65" t="s">
        <v>127</v>
      </c>
    </row>
    <row r="21" ht="15.0" customHeight="1">
      <c r="B21" s="65" t="s">
        <v>128</v>
      </c>
    </row>
    <row r="22" ht="15.0" customHeight="1">
      <c r="B22" s="65" t="s">
        <v>129</v>
      </c>
    </row>
    <row r="23" ht="15.0" customHeight="1">
      <c r="B23" s="65" t="s">
        <v>130</v>
      </c>
    </row>
    <row r="24" ht="15.75" customHeight="1"/>
    <row r="25" ht="15.75" customHeight="1">
      <c r="B25" s="64" t="s">
        <v>131</v>
      </c>
    </row>
    <row r="26" ht="15.0" customHeight="1">
      <c r="B26" s="65" t="s">
        <v>132</v>
      </c>
    </row>
    <row r="27" ht="15.0" customHeight="1">
      <c r="B27" s="65" t="s">
        <v>133</v>
      </c>
    </row>
    <row r="28" ht="15.0" customHeight="1">
      <c r="B28" s="65" t="s">
        <v>134</v>
      </c>
    </row>
    <row r="29" ht="15.0" customHeight="1">
      <c r="B29" s="65" t="s">
        <v>135</v>
      </c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